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0" windowWidth="15300" windowHeight="8940"/>
  </bookViews>
  <sheets>
    <sheet name="Formas especiais " sheetId="4" r:id="rId1"/>
  </sheets>
  <definedNames>
    <definedName name="_xlnm.Print_Area" localSheetId="0">'Formas especiais '!$A$1:$Q$48</definedName>
  </definedNames>
  <calcPr calcId="125725"/>
</workbook>
</file>

<file path=xl/calcChain.xml><?xml version="1.0" encoding="utf-8"?>
<calcChain xmlns="http://schemas.openxmlformats.org/spreadsheetml/2006/main">
  <c r="J7" i="4"/>
  <c r="H7"/>
  <c r="D7"/>
  <c r="Q40" l="1"/>
  <c r="P40"/>
  <c r="M40"/>
  <c r="K40"/>
  <c r="E40"/>
  <c r="C40"/>
  <c r="P39"/>
  <c r="Q39" s="1"/>
  <c r="O39"/>
  <c r="M39"/>
  <c r="I39"/>
  <c r="G39"/>
  <c r="E39"/>
  <c r="C39"/>
  <c r="K39" s="1"/>
  <c r="P38"/>
  <c r="Q38" s="1"/>
  <c r="O38"/>
  <c r="I38"/>
  <c r="G38"/>
  <c r="C38"/>
  <c r="M38" s="1"/>
  <c r="P37"/>
  <c r="Q37" s="1"/>
  <c r="C37"/>
  <c r="N36"/>
  <c r="L36"/>
  <c r="J36"/>
  <c r="H36"/>
  <c r="F36"/>
  <c r="D36"/>
  <c r="P35"/>
  <c r="Q35" s="1"/>
  <c r="K35"/>
  <c r="I35"/>
  <c r="C35"/>
  <c r="P34"/>
  <c r="C34"/>
  <c r="P33"/>
  <c r="Q33" s="1"/>
  <c r="O33"/>
  <c r="M33"/>
  <c r="I33"/>
  <c r="G33"/>
  <c r="E33"/>
  <c r="C33"/>
  <c r="K33" s="1"/>
  <c r="P32"/>
  <c r="Q32" s="1"/>
  <c r="O32"/>
  <c r="I32"/>
  <c r="G32"/>
  <c r="C32"/>
  <c r="M32" s="1"/>
  <c r="P31"/>
  <c r="K31"/>
  <c r="I31"/>
  <c r="C31"/>
  <c r="P30"/>
  <c r="M30"/>
  <c r="C30"/>
  <c r="P29"/>
  <c r="Q29" s="1"/>
  <c r="O29"/>
  <c r="M29"/>
  <c r="I29"/>
  <c r="G29"/>
  <c r="E29"/>
  <c r="C29"/>
  <c r="K29" s="1"/>
  <c r="P28"/>
  <c r="Q28" s="1"/>
  <c r="O28"/>
  <c r="I28"/>
  <c r="G28"/>
  <c r="C28"/>
  <c r="M28" s="1"/>
  <c r="P27"/>
  <c r="C27"/>
  <c r="K27" s="1"/>
  <c r="Q26"/>
  <c r="P26"/>
  <c r="M26"/>
  <c r="K26"/>
  <c r="E26"/>
  <c r="C26"/>
  <c r="P25"/>
  <c r="Q25" s="1"/>
  <c r="O25"/>
  <c r="M25"/>
  <c r="I25"/>
  <c r="G25"/>
  <c r="E25"/>
  <c r="C25"/>
  <c r="K25" s="1"/>
  <c r="N24"/>
  <c r="L24"/>
  <c r="P24" s="1"/>
  <c r="J24"/>
  <c r="H24"/>
  <c r="F24"/>
  <c r="D24"/>
  <c r="J23"/>
  <c r="I23"/>
  <c r="H23"/>
  <c r="D23"/>
  <c r="C23"/>
  <c r="G23" s="1"/>
  <c r="J22"/>
  <c r="H22"/>
  <c r="D22"/>
  <c r="C22" s="1"/>
  <c r="O21"/>
  <c r="M21"/>
  <c r="J21"/>
  <c r="G21"/>
  <c r="D21"/>
  <c r="E21" s="1"/>
  <c r="C21"/>
  <c r="I21" s="1"/>
  <c r="M20"/>
  <c r="K20"/>
  <c r="J20"/>
  <c r="P20" s="1"/>
  <c r="Q20" s="1"/>
  <c r="H20"/>
  <c r="G20"/>
  <c r="D20"/>
  <c r="E20" s="1"/>
  <c r="C20"/>
  <c r="O20" s="1"/>
  <c r="K19"/>
  <c r="J19"/>
  <c r="P19" s="1"/>
  <c r="Q19" s="1"/>
  <c r="H19"/>
  <c r="G19"/>
  <c r="D19"/>
  <c r="E19" s="1"/>
  <c r="C19"/>
  <c r="O19" s="1"/>
  <c r="N18"/>
  <c r="L18"/>
  <c r="J18"/>
  <c r="F18"/>
  <c r="P17"/>
  <c r="Q17" s="1"/>
  <c r="K17"/>
  <c r="J17"/>
  <c r="C17"/>
  <c r="O16"/>
  <c r="M16"/>
  <c r="J16"/>
  <c r="K16" s="1"/>
  <c r="I16"/>
  <c r="G16"/>
  <c r="C16"/>
  <c r="E16" s="1"/>
  <c r="P15"/>
  <c r="Q15" s="1"/>
  <c r="K15"/>
  <c r="J15"/>
  <c r="C15"/>
  <c r="O14"/>
  <c r="M14"/>
  <c r="J14"/>
  <c r="K14" s="1"/>
  <c r="I14"/>
  <c r="G14"/>
  <c r="C14"/>
  <c r="E14" s="1"/>
  <c r="P13"/>
  <c r="Q13" s="1"/>
  <c r="K13"/>
  <c r="I13"/>
  <c r="C13"/>
  <c r="N12"/>
  <c r="L12"/>
  <c r="J12"/>
  <c r="H12"/>
  <c r="F12"/>
  <c r="D12"/>
  <c r="P11"/>
  <c r="D11"/>
  <c r="C11" s="1"/>
  <c r="J10"/>
  <c r="P10" s="1"/>
  <c r="D10"/>
  <c r="J9"/>
  <c r="H9"/>
  <c r="D9"/>
  <c r="Q8"/>
  <c r="P8"/>
  <c r="K8"/>
  <c r="C8"/>
  <c r="I8" s="1"/>
  <c r="P7"/>
  <c r="C7"/>
  <c r="O7" s="1"/>
  <c r="J6"/>
  <c r="H6"/>
  <c r="D6"/>
  <c r="C6" s="1"/>
  <c r="J5"/>
  <c r="P5" s="1"/>
  <c r="Q5" s="1"/>
  <c r="H5"/>
  <c r="D5"/>
  <c r="C5"/>
  <c r="M5" s="1"/>
  <c r="L4"/>
  <c r="J4"/>
  <c r="F4"/>
  <c r="G22" l="1"/>
  <c r="M22"/>
  <c r="O22"/>
  <c r="O6"/>
  <c r="M6"/>
  <c r="K6"/>
  <c r="G6"/>
  <c r="O11"/>
  <c r="G11"/>
  <c r="K11"/>
  <c r="M11"/>
  <c r="I11"/>
  <c r="I22"/>
  <c r="I6"/>
  <c r="Q11"/>
  <c r="O5"/>
  <c r="Q7"/>
  <c r="P12"/>
  <c r="I24"/>
  <c r="Q27"/>
  <c r="I34"/>
  <c r="O34"/>
  <c r="G34"/>
  <c r="K36"/>
  <c r="N4"/>
  <c r="E5"/>
  <c r="D4"/>
  <c r="E7"/>
  <c r="M8"/>
  <c r="C9"/>
  <c r="E11"/>
  <c r="O15"/>
  <c r="I15"/>
  <c r="M15"/>
  <c r="G15"/>
  <c r="O17"/>
  <c r="I17"/>
  <c r="G17"/>
  <c r="M17"/>
  <c r="M19"/>
  <c r="K23"/>
  <c r="I27"/>
  <c r="I30"/>
  <c r="O30"/>
  <c r="G30"/>
  <c r="E34"/>
  <c r="Q34"/>
  <c r="G36"/>
  <c r="C36"/>
  <c r="O37"/>
  <c r="G37"/>
  <c r="M37"/>
  <c r="E37"/>
  <c r="G5"/>
  <c r="K5"/>
  <c r="G7"/>
  <c r="M7"/>
  <c r="E8"/>
  <c r="O8"/>
  <c r="E9"/>
  <c r="P9"/>
  <c r="O13"/>
  <c r="G13"/>
  <c r="M13"/>
  <c r="E13"/>
  <c r="E15"/>
  <c r="E17"/>
  <c r="H18"/>
  <c r="I19"/>
  <c r="I20"/>
  <c r="K22"/>
  <c r="E23"/>
  <c r="M23"/>
  <c r="I26"/>
  <c r="O26"/>
  <c r="G26"/>
  <c r="E30"/>
  <c r="Q30"/>
  <c r="K34"/>
  <c r="O35"/>
  <c r="G35"/>
  <c r="M35"/>
  <c r="E35"/>
  <c r="I37"/>
  <c r="I40"/>
  <c r="O40"/>
  <c r="G40"/>
  <c r="I5"/>
  <c r="K7"/>
  <c r="C24"/>
  <c r="O27"/>
  <c r="G27"/>
  <c r="M27"/>
  <c r="E27"/>
  <c r="H4"/>
  <c r="E6"/>
  <c r="P6"/>
  <c r="Q6" s="1"/>
  <c r="I7"/>
  <c r="G8"/>
  <c r="C10"/>
  <c r="Q10" s="1"/>
  <c r="C12"/>
  <c r="K21"/>
  <c r="E22"/>
  <c r="O23"/>
  <c r="M24"/>
  <c r="K30"/>
  <c r="O31"/>
  <c r="G31"/>
  <c r="M31"/>
  <c r="E31"/>
  <c r="Q31"/>
  <c r="M34"/>
  <c r="P36"/>
  <c r="Q36" s="1"/>
  <c r="O36"/>
  <c r="K37"/>
  <c r="P14"/>
  <c r="Q14" s="1"/>
  <c r="P22"/>
  <c r="Q22" s="1"/>
  <c r="P23"/>
  <c r="Q23" s="1"/>
  <c r="K28"/>
  <c r="K32"/>
  <c r="K38"/>
  <c r="P16"/>
  <c r="Q16" s="1"/>
  <c r="P21"/>
  <c r="Q21" s="1"/>
  <c r="D18"/>
  <c r="E28"/>
  <c r="E32"/>
  <c r="E38"/>
  <c r="C4" l="1"/>
  <c r="M12"/>
  <c r="I12"/>
  <c r="E12"/>
  <c r="G24"/>
  <c r="K24"/>
  <c r="O24"/>
  <c r="G12"/>
  <c r="K9"/>
  <c r="G9"/>
  <c r="O9"/>
  <c r="M9"/>
  <c r="O12"/>
  <c r="I9"/>
  <c r="C18"/>
  <c r="E18"/>
  <c r="K10"/>
  <c r="Q9"/>
  <c r="I36"/>
  <c r="M36"/>
  <c r="E36"/>
  <c r="E24"/>
  <c r="P18"/>
  <c r="Q18" s="1"/>
  <c r="P4"/>
  <c r="O4"/>
  <c r="Q12"/>
  <c r="Q24"/>
  <c r="M10"/>
  <c r="I10"/>
  <c r="O10"/>
  <c r="G10"/>
  <c r="E10"/>
  <c r="K12"/>
  <c r="Q4" l="1"/>
  <c r="G4"/>
  <c r="M4"/>
  <c r="K4"/>
  <c r="M18"/>
  <c r="K18"/>
  <c r="G18"/>
  <c r="O18"/>
  <c r="I18"/>
  <c r="E4"/>
  <c r="I4"/>
</calcChain>
</file>

<file path=xl/sharedStrings.xml><?xml version="1.0" encoding="utf-8"?>
<sst xmlns="http://schemas.openxmlformats.org/spreadsheetml/2006/main" count="63" uniqueCount="57">
  <si>
    <t>Total Findos</t>
  </si>
  <si>
    <t>Comum</t>
  </si>
  <si>
    <t>%</t>
  </si>
  <si>
    <t>Sumário</t>
  </si>
  <si>
    <t>Abreviado</t>
  </si>
  <si>
    <t>sumaríssimo</t>
  </si>
  <si>
    <t>suspensão</t>
  </si>
  <si>
    <t>Disp. Pena</t>
  </si>
  <si>
    <t>Total especiais</t>
  </si>
  <si>
    <t>COMARCA LISBOA</t>
  </si>
  <si>
    <t>DIAP Almada</t>
  </si>
  <si>
    <t>DIAP Barreiro</t>
  </si>
  <si>
    <t>DIAP Lisboa</t>
  </si>
  <si>
    <t>Inst. L. Peq. Crim. Lisboa</t>
  </si>
  <si>
    <t>DIAP Moita</t>
  </si>
  <si>
    <t>DIAP Montijo</t>
  </si>
  <si>
    <t>DIAP Seixal</t>
  </si>
  <si>
    <t>COMARCA LISBOA NORTE</t>
  </si>
  <si>
    <t>DIAP Alenquer</t>
  </si>
  <si>
    <t>DIAP Loures</t>
  </si>
  <si>
    <t>DIAP Lourinhã</t>
  </si>
  <si>
    <t>DIAP Torres Vedras</t>
  </si>
  <si>
    <t>DIAP Vila Franca de Xira</t>
  </si>
  <si>
    <t>COMARCA LISBOA OESTE</t>
  </si>
  <si>
    <t>DIAP Amadora</t>
  </si>
  <si>
    <t>DIAP Cascais</t>
  </si>
  <si>
    <t>DIAP Mafra</t>
  </si>
  <si>
    <t>DIAP Oeiras</t>
  </si>
  <si>
    <t>DIAP Sintra</t>
  </si>
  <si>
    <t>COMARCA AÇORES</t>
  </si>
  <si>
    <t>DIAP Angra do Heroísmo</t>
  </si>
  <si>
    <t>DIAP Horta</t>
  </si>
  <si>
    <t>DIAP Ponta Delgada</t>
  </si>
  <si>
    <t>DIAP Praia da Vitória</t>
  </si>
  <si>
    <t>DIAP Ribeira Grande</t>
  </si>
  <si>
    <t>DIAP São Roque do Pico</t>
  </si>
  <si>
    <t>DIAP Stª Cruz das Flores</t>
  </si>
  <si>
    <t>DIAP Stª Cruz Graciosa</t>
  </si>
  <si>
    <t>DIAP V. Franca do Campo</t>
  </si>
  <si>
    <t>DIAP Velas</t>
  </si>
  <si>
    <t>DIAP Vila do Porto</t>
  </si>
  <si>
    <t>COMARCA MADEIRA</t>
  </si>
  <si>
    <t>DIAP Funchal</t>
  </si>
  <si>
    <t>DIAP Ponta do Sol</t>
  </si>
  <si>
    <t>DIAP Porto Santo</t>
  </si>
  <si>
    <t>DIAP Santa Cruz</t>
  </si>
  <si>
    <t xml:space="preserve">Legenda: </t>
  </si>
  <si>
    <r>
      <t>Total de Findos (1):</t>
    </r>
    <r>
      <rPr>
        <sz val="8"/>
        <rFont val="Arial"/>
        <family val="2"/>
      </rPr>
      <t xml:space="preserve"> somatório de todas as acusações em processo comum (singular, colectivo e 16,3) (coluna 2), acusações em processos sumaríssimo (coluna 8), abreviado (coluna 6) e sumários (coluna 4), bem como suspensões provisórias do processo (coluna 10) e arquivamento por dispensa de pena (coluna 12).</t>
    </r>
  </si>
  <si>
    <r>
      <t xml:space="preserve">Comum (2): </t>
    </r>
    <r>
      <rPr>
        <sz val="8"/>
        <rFont val="Arial"/>
        <family val="2"/>
      </rPr>
      <t>somatório de todas as acusações em processo comum (singular, colectivo e 16,3)</t>
    </r>
  </si>
  <si>
    <r>
      <t xml:space="preserve">Total especiais (14): </t>
    </r>
    <r>
      <rPr>
        <sz val="8"/>
        <rFont val="Arial"/>
        <family val="2"/>
      </rPr>
      <t>somatório de todas as acusações em processo sumaríssimo (coluna 8), abreviado (coluna 6), processos sumários (coluna 4), suspensões provisórias do processo (coluna 10) e arquivamento por dispensa de pena (coluna 12)</t>
    </r>
  </si>
  <si>
    <t>Obtenção de dados:</t>
  </si>
  <si>
    <t xml:space="preserve">Dados obtidos nos sistemas Habillus e SGI (DIAP de Lisboa)  em 11 e 12 de Maio de 2015. </t>
  </si>
  <si>
    <t>Valores de acusações em processo sumário: obtidos no sistema habillus, pelas complexidades SU e mapa de apresentações.</t>
  </si>
  <si>
    <t>Suspensões provisórias de processo - incluí as feitas na sequência de apresentações de detidos, traduzindo os despachos dados no periodo.</t>
  </si>
  <si>
    <t xml:space="preserve">Todas as percentagens são calculadas sobre o total de findos (que equivale aos 100%). </t>
  </si>
  <si>
    <t xml:space="preserve">  </t>
  </si>
  <si>
    <t>Total da área da PGDL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</si>
</sst>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2" borderId="5" xfId="1" applyFont="1" applyFill="1" applyBorder="1"/>
    <xf numFmtId="0" fontId="4" fillId="2" borderId="6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1" fillId="0" borderId="0" xfId="1" applyFill="1"/>
    <xf numFmtId="0" fontId="1" fillId="0" borderId="0" xfId="1"/>
    <xf numFmtId="3" fontId="4" fillId="3" borderId="10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3" fontId="6" fillId="4" borderId="15" xfId="1" applyNumberFormat="1" applyFont="1" applyFill="1" applyBorder="1" applyAlignment="1">
      <alignment horizontal="center"/>
    </xf>
    <xf numFmtId="3" fontId="1" fillId="4" borderId="15" xfId="1" applyNumberFormat="1" applyFill="1" applyBorder="1" applyAlignment="1">
      <alignment horizontal="center"/>
    </xf>
    <xf numFmtId="164" fontId="1" fillId="4" borderId="15" xfId="1" applyNumberFormat="1" applyFill="1" applyBorder="1" applyAlignment="1">
      <alignment horizontal="center"/>
    </xf>
    <xf numFmtId="0" fontId="1" fillId="4" borderId="15" xfId="1" applyNumberFormat="1" applyFill="1" applyBorder="1" applyAlignment="1">
      <alignment horizontal="center"/>
    </xf>
    <xf numFmtId="165" fontId="0" fillId="4" borderId="15" xfId="2" applyNumberFormat="1" applyFont="1" applyFill="1" applyBorder="1" applyAlignment="1">
      <alignment horizontal="center"/>
    </xf>
    <xf numFmtId="164" fontId="6" fillId="4" borderId="15" xfId="1" applyNumberFormat="1" applyFont="1" applyFill="1" applyBorder="1" applyAlignment="1">
      <alignment horizontal="center"/>
    </xf>
    <xf numFmtId="0" fontId="1" fillId="4" borderId="0" xfId="1" applyFill="1"/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3" fontId="6" fillId="0" borderId="18" xfId="1" applyNumberFormat="1" applyFont="1" applyFill="1" applyBorder="1" applyAlignment="1">
      <alignment horizontal="center"/>
    </xf>
    <xf numFmtId="3" fontId="1" fillId="0" borderId="18" xfId="1" applyNumberFormat="1" applyFill="1" applyBorder="1" applyAlignment="1">
      <alignment horizontal="center"/>
    </xf>
    <xf numFmtId="164" fontId="1" fillId="0" borderId="18" xfId="1" applyNumberFormat="1" applyFill="1" applyBorder="1" applyAlignment="1">
      <alignment horizontal="center"/>
    </xf>
    <xf numFmtId="0" fontId="1" fillId="0" borderId="18" xfId="1" applyNumberFormat="1" applyFill="1" applyBorder="1" applyAlignment="1">
      <alignment horizontal="center"/>
    </xf>
    <xf numFmtId="165" fontId="0" fillId="0" borderId="18" xfId="2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3" fontId="6" fillId="0" borderId="21" xfId="1" applyNumberFormat="1" applyFont="1" applyFill="1" applyBorder="1" applyAlignment="1">
      <alignment horizontal="center"/>
    </xf>
    <xf numFmtId="3" fontId="1" fillId="0" borderId="21" xfId="1" applyNumberFormat="1" applyFill="1" applyBorder="1" applyAlignment="1">
      <alignment horizontal="center"/>
    </xf>
    <xf numFmtId="164" fontId="1" fillId="0" borderId="21" xfId="1" applyNumberFormat="1" applyFill="1" applyBorder="1" applyAlignment="1">
      <alignment horizontal="center"/>
    </xf>
    <xf numFmtId="0" fontId="1" fillId="0" borderId="21" xfId="1" applyNumberFormat="1" applyFill="1" applyBorder="1" applyAlignment="1">
      <alignment horizontal="center"/>
    </xf>
    <xf numFmtId="165" fontId="0" fillId="0" borderId="21" xfId="2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3" fontId="7" fillId="0" borderId="19" xfId="1" applyNumberFormat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3" fontId="6" fillId="0" borderId="24" xfId="1" applyNumberFormat="1" applyFont="1" applyFill="1" applyBorder="1" applyAlignment="1">
      <alignment horizontal="center"/>
    </xf>
    <xf numFmtId="3" fontId="1" fillId="0" borderId="24" xfId="1" applyNumberFormat="1" applyFill="1" applyBorder="1" applyAlignment="1">
      <alignment horizontal="center"/>
    </xf>
    <xf numFmtId="164" fontId="1" fillId="0" borderId="24" xfId="1" applyNumberFormat="1" applyFill="1" applyBorder="1" applyAlignment="1">
      <alignment horizontal="center"/>
    </xf>
    <xf numFmtId="0" fontId="1" fillId="0" borderId="24" xfId="1" applyNumberFormat="1" applyFill="1" applyBorder="1" applyAlignment="1">
      <alignment horizontal="center"/>
    </xf>
    <xf numFmtId="165" fontId="0" fillId="0" borderId="24" xfId="2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3" fontId="6" fillId="0" borderId="29" xfId="1" applyNumberFormat="1" applyFont="1" applyFill="1" applyBorder="1" applyAlignment="1">
      <alignment horizontal="center"/>
    </xf>
    <xf numFmtId="3" fontId="1" fillId="0" borderId="29" xfId="1" applyNumberFormat="1" applyFill="1" applyBorder="1" applyAlignment="1">
      <alignment horizontal="center"/>
    </xf>
    <xf numFmtId="164" fontId="1" fillId="0" borderId="29" xfId="1" applyNumberFormat="1" applyFill="1" applyBorder="1" applyAlignment="1">
      <alignment horizontal="center"/>
    </xf>
    <xf numFmtId="0" fontId="1" fillId="0" borderId="29" xfId="1" applyNumberFormat="1" applyFill="1" applyBorder="1" applyAlignment="1">
      <alignment horizontal="center"/>
    </xf>
    <xf numFmtId="165" fontId="0" fillId="0" borderId="29" xfId="2" applyNumberFormat="1" applyFont="1" applyFill="1" applyBorder="1" applyAlignment="1">
      <alignment horizontal="center"/>
    </xf>
    <xf numFmtId="164" fontId="1" fillId="0" borderId="29" xfId="1" applyNumberFormat="1" applyFont="1" applyFill="1" applyBorder="1" applyAlignment="1">
      <alignment horizontal="center"/>
    </xf>
    <xf numFmtId="0" fontId="9" fillId="0" borderId="0" xfId="1" applyFont="1"/>
    <xf numFmtId="0" fontId="7" fillId="0" borderId="0" xfId="1" applyFont="1"/>
    <xf numFmtId="3" fontId="7" fillId="0" borderId="0" xfId="1" applyNumberFormat="1" applyFont="1"/>
    <xf numFmtId="0" fontId="7" fillId="0" borderId="0" xfId="1" applyFont="1" applyFill="1"/>
    <xf numFmtId="0" fontId="5" fillId="0" borderId="0" xfId="1" applyFont="1" applyAlignment="1"/>
    <xf numFmtId="0" fontId="5" fillId="0" borderId="0" xfId="1" applyFont="1" applyFill="1" applyBorder="1"/>
    <xf numFmtId="0" fontId="9" fillId="0" borderId="0" xfId="1" applyFont="1" applyFill="1" applyBorder="1" applyAlignment="1">
      <alignment horizontal="justify"/>
    </xf>
    <xf numFmtId="0" fontId="5" fillId="0" borderId="0" xfId="1" applyFont="1" applyFill="1" applyBorder="1" applyAlignment="1">
      <alignment horizontal="justify"/>
    </xf>
    <xf numFmtId="0" fontId="7" fillId="0" borderId="0" xfId="1" applyFont="1" applyFill="1" applyBorder="1"/>
    <xf numFmtId="0" fontId="5" fillId="0" borderId="0" xfId="1" applyFont="1" applyFill="1" applyBorder="1" applyAlignment="1">
      <alignment horizontal="justify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left" vertical="center"/>
    </xf>
    <xf numFmtId="0" fontId="5" fillId="4" borderId="14" xfId="1" applyFont="1" applyFill="1" applyBorder="1" applyAlignment="1">
      <alignment horizontal="left" vertical="center"/>
    </xf>
    <xf numFmtId="0" fontId="5" fillId="4" borderId="25" xfId="1" applyFont="1" applyFill="1" applyBorder="1" applyAlignment="1">
      <alignment horizontal="left" vertical="center"/>
    </xf>
    <xf numFmtId="0" fontId="5" fillId="4" borderId="26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Pe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1"/>
  <sheetViews>
    <sheetView showGridLines="0" tabSelected="1" zoomScale="76" zoomScaleNormal="76" workbookViewId="0">
      <selection activeCell="D15" sqref="D15"/>
    </sheetView>
  </sheetViews>
  <sheetFormatPr defaultColWidth="8.85546875" defaultRowHeight="12.75"/>
  <cols>
    <col min="1" max="1" width="20.140625" style="14" customWidth="1"/>
    <col min="2" max="2" width="17.7109375" style="14" customWidth="1"/>
    <col min="3" max="3" width="19.42578125" style="14" bestFit="1" customWidth="1"/>
    <col min="4" max="4" width="12.7109375" style="14" bestFit="1" customWidth="1"/>
    <col min="5" max="5" width="7.7109375" style="14" bestFit="1" customWidth="1"/>
    <col min="6" max="6" width="13.5703125" style="14" bestFit="1" customWidth="1"/>
    <col min="7" max="7" width="7.7109375" style="14" bestFit="1" customWidth="1"/>
    <col min="8" max="8" width="16.42578125" style="14" bestFit="1" customWidth="1"/>
    <col min="9" max="9" width="6.28515625" style="14" bestFit="1" customWidth="1"/>
    <col min="10" max="10" width="20.28515625" style="14" bestFit="1" customWidth="1"/>
    <col min="11" max="11" width="6.7109375" style="14" bestFit="1" customWidth="1"/>
    <col min="12" max="12" width="17.7109375" style="14" bestFit="1" customWidth="1"/>
    <col min="13" max="13" width="7.7109375" style="14" bestFit="1" customWidth="1"/>
    <col min="14" max="14" width="17" style="14" bestFit="1" customWidth="1"/>
    <col min="15" max="15" width="7.7109375" style="14" customWidth="1"/>
    <col min="16" max="16" width="23.42578125" style="14" bestFit="1" customWidth="1"/>
    <col min="17" max="17" width="8.85546875" style="14"/>
    <col min="18" max="88" width="8.85546875" style="13"/>
    <col min="89" max="16384" width="8.85546875" style="14"/>
  </cols>
  <sheetData>
    <row r="1" spans="1:88" s="6" customFormat="1" ht="20.25">
      <c r="A1" s="1"/>
      <c r="B1" s="2"/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5">
        <v>15</v>
      </c>
    </row>
    <row r="2" spans="1:88" ht="21" thickBot="1">
      <c r="A2" s="7"/>
      <c r="B2" s="8"/>
      <c r="C2" s="9" t="s">
        <v>0</v>
      </c>
      <c r="D2" s="10" t="s">
        <v>1</v>
      </c>
      <c r="E2" s="11" t="s">
        <v>2</v>
      </c>
      <c r="F2" s="10" t="s">
        <v>3</v>
      </c>
      <c r="G2" s="11" t="s">
        <v>2</v>
      </c>
      <c r="H2" s="10" t="s">
        <v>4</v>
      </c>
      <c r="I2" s="11" t="s">
        <v>2</v>
      </c>
      <c r="J2" s="10" t="s">
        <v>5</v>
      </c>
      <c r="K2" s="11" t="s">
        <v>2</v>
      </c>
      <c r="L2" s="10" t="s">
        <v>6</v>
      </c>
      <c r="M2" s="11" t="s">
        <v>2</v>
      </c>
      <c r="N2" s="10" t="s">
        <v>7</v>
      </c>
      <c r="O2" s="11" t="s">
        <v>2</v>
      </c>
      <c r="P2" s="10" t="s">
        <v>8</v>
      </c>
      <c r="Q2" s="12" t="s">
        <v>2</v>
      </c>
    </row>
    <row r="3" spans="1:88" s="13" customFormat="1" ht="37.15" customHeight="1" thickTop="1" thickBot="1">
      <c r="A3" s="71" t="s">
        <v>56</v>
      </c>
      <c r="B3" s="72"/>
      <c r="C3" s="15">
        <v>13042</v>
      </c>
      <c r="D3" s="16">
        <v>5418</v>
      </c>
      <c r="E3" s="16">
        <v>41.5</v>
      </c>
      <c r="F3" s="16">
        <v>1368</v>
      </c>
      <c r="G3" s="16">
        <v>10.5</v>
      </c>
      <c r="H3" s="16">
        <v>512</v>
      </c>
      <c r="I3" s="16">
        <v>3.9</v>
      </c>
      <c r="J3" s="16">
        <v>1404</v>
      </c>
      <c r="K3" s="16">
        <v>10.8</v>
      </c>
      <c r="L3" s="16">
        <v>4227</v>
      </c>
      <c r="M3" s="16">
        <v>32.4</v>
      </c>
      <c r="N3" s="16">
        <v>113</v>
      </c>
      <c r="O3" s="16">
        <v>0.9</v>
      </c>
      <c r="P3" s="16">
        <v>7624</v>
      </c>
      <c r="Q3" s="17">
        <v>58.5</v>
      </c>
    </row>
    <row r="4" spans="1:88" s="24" customFormat="1" ht="16.5" thickTop="1" thickBot="1">
      <c r="A4" s="73" t="s">
        <v>9</v>
      </c>
      <c r="B4" s="74"/>
      <c r="C4" s="18">
        <f>D4+F4+H4+J4+L4+N4</f>
        <v>5763</v>
      </c>
      <c r="D4" s="19">
        <f>SUM(D5:D11)</f>
        <v>2052</v>
      </c>
      <c r="E4" s="20">
        <f t="shared" ref="E4:E40" si="0">(D4/C4)*100</f>
        <v>35.606454971369075</v>
      </c>
      <c r="F4" s="19">
        <f>SUM(F5:F12)</f>
        <v>472</v>
      </c>
      <c r="G4" s="20">
        <f t="shared" ref="G4:G40" si="1">(F4/C4)*100</f>
        <v>8.1901787263578001</v>
      </c>
      <c r="H4" s="19">
        <f>SUM(H5:H12)</f>
        <v>448</v>
      </c>
      <c r="I4" s="20">
        <f t="shared" ref="I4:I40" si="2">(H4/C4)*100</f>
        <v>7.7737289606107929</v>
      </c>
      <c r="J4" s="19">
        <f>SUM(J5:J12)</f>
        <v>629</v>
      </c>
      <c r="K4" s="20">
        <f t="shared" ref="K4:K40" si="3">(J4/C4)*100</f>
        <v>10.914454277286136</v>
      </c>
      <c r="L4" s="19">
        <f>SUM(L5:L12)</f>
        <v>2092</v>
      </c>
      <c r="M4" s="20">
        <f t="shared" ref="M4:M40" si="4">(L4/C4)*100</f>
        <v>36.300537914280753</v>
      </c>
      <c r="N4" s="21">
        <f>SUM(N5:N12)</f>
        <v>70</v>
      </c>
      <c r="O4" s="22">
        <f>N4/C4</f>
        <v>1.2146451500954364E-2</v>
      </c>
      <c r="P4" s="19">
        <f>N4+L4+J4+H4+F4</f>
        <v>3711</v>
      </c>
      <c r="Q4" s="23">
        <f>(P4/C4)*100</f>
        <v>64.393545028630911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88" ht="15.75" thickTop="1">
      <c r="A5" s="25"/>
      <c r="B5" s="26" t="s">
        <v>10</v>
      </c>
      <c r="C5" s="27">
        <f t="shared" ref="C5:C40" si="5">D5+F5+H5+J5+L5+N5</f>
        <v>693</v>
      </c>
      <c r="D5" s="28">
        <f>5+20+5+8+37+8+122+118+3+20+15+26-F5</f>
        <v>340</v>
      </c>
      <c r="E5" s="29">
        <f>(D5/C5)*100</f>
        <v>49.062049062049063</v>
      </c>
      <c r="F5" s="28">
        <v>47</v>
      </c>
      <c r="G5" s="29">
        <f>(F5/C5)*100</f>
        <v>6.7821067821067826</v>
      </c>
      <c r="H5" s="28">
        <f>7+18+15</f>
        <v>40</v>
      </c>
      <c r="I5" s="29">
        <f>(H5/C5)*100</f>
        <v>5.7720057720057723</v>
      </c>
      <c r="J5" s="28">
        <f>3+2+6</f>
        <v>11</v>
      </c>
      <c r="K5" s="29">
        <f>(J5/C5)*100</f>
        <v>1.5873015873015872</v>
      </c>
      <c r="L5" s="28">
        <v>246</v>
      </c>
      <c r="M5" s="29">
        <f>(L5/C5)*100</f>
        <v>35.497835497835503</v>
      </c>
      <c r="N5" s="30">
        <v>9</v>
      </c>
      <c r="O5" s="31">
        <f t="shared" ref="O5:O40" si="6">N5/C5</f>
        <v>1.2987012987012988E-2</v>
      </c>
      <c r="P5" s="28">
        <f>N5+L5+J5+H5+F5</f>
        <v>353</v>
      </c>
      <c r="Q5" s="32">
        <f>(P5/C5)*100</f>
        <v>50.937950937950937</v>
      </c>
    </row>
    <row r="6" spans="1:88" ht="15">
      <c r="A6" s="33"/>
      <c r="B6" s="34" t="s">
        <v>11</v>
      </c>
      <c r="C6" s="35">
        <f t="shared" si="5"/>
        <v>220</v>
      </c>
      <c r="D6" s="36">
        <f>4+8+38+47+12+5-F6</f>
        <v>89</v>
      </c>
      <c r="E6" s="37">
        <f t="shared" si="0"/>
        <v>40.454545454545453</v>
      </c>
      <c r="F6" s="36">
        <v>25</v>
      </c>
      <c r="G6" s="37">
        <f t="shared" si="1"/>
        <v>11.363636363636363</v>
      </c>
      <c r="H6" s="36">
        <f>3+2</f>
        <v>5</v>
      </c>
      <c r="I6" s="37">
        <f t="shared" si="2"/>
        <v>2.2727272727272729</v>
      </c>
      <c r="J6" s="36">
        <f>7</f>
        <v>7</v>
      </c>
      <c r="K6" s="37">
        <f t="shared" si="3"/>
        <v>3.1818181818181817</v>
      </c>
      <c r="L6" s="36">
        <v>93</v>
      </c>
      <c r="M6" s="37">
        <f t="shared" si="4"/>
        <v>42.272727272727273</v>
      </c>
      <c r="N6" s="38">
        <v>1</v>
      </c>
      <c r="O6" s="39">
        <f t="shared" si="6"/>
        <v>4.5454545454545452E-3</v>
      </c>
      <c r="P6" s="36">
        <f t="shared" ref="P6:P40" si="7">N6+L6+J6+H6+F6</f>
        <v>131</v>
      </c>
      <c r="Q6" s="40">
        <f t="shared" ref="Q6:Q40" si="8">(P6/C6)*100</f>
        <v>59.545454545454547</v>
      </c>
    </row>
    <row r="7" spans="1:88" ht="15">
      <c r="A7" s="33"/>
      <c r="B7" s="34" t="s">
        <v>12</v>
      </c>
      <c r="C7" s="35">
        <f t="shared" si="5"/>
        <v>1515</v>
      </c>
      <c r="D7" s="36">
        <f>528+202+155+140+64+43</f>
        <v>1132</v>
      </c>
      <c r="E7" s="37">
        <f>(D7/C7)*100</f>
        <v>74.71947194719472</v>
      </c>
      <c r="F7" s="36">
        <v>10</v>
      </c>
      <c r="G7" s="37">
        <f>(F7/C7)*100</f>
        <v>0.66006600660066006</v>
      </c>
      <c r="H7" s="36">
        <f>34+3+168+11</f>
        <v>216</v>
      </c>
      <c r="I7" s="37">
        <f>(H7/C7)*100</f>
        <v>14.257425742574256</v>
      </c>
      <c r="J7" s="36">
        <f>14+54</f>
        <v>68</v>
      </c>
      <c r="K7" s="37">
        <f>(J7/C7)*100</f>
        <v>4.4884488448844886</v>
      </c>
      <c r="L7" s="36">
        <v>64</v>
      </c>
      <c r="M7" s="37">
        <f>(L7/C7)*100</f>
        <v>4.224422442244224</v>
      </c>
      <c r="N7" s="38">
        <v>25</v>
      </c>
      <c r="O7" s="39">
        <f t="shared" si="6"/>
        <v>1.65016501650165E-2</v>
      </c>
      <c r="P7" s="36">
        <f t="shared" si="7"/>
        <v>383</v>
      </c>
      <c r="Q7" s="40">
        <f>(P7/C7)*100</f>
        <v>25.28052805280528</v>
      </c>
    </row>
    <row r="8" spans="1:88" ht="15">
      <c r="A8" s="33"/>
      <c r="B8" s="34" t="s">
        <v>13</v>
      </c>
      <c r="C8" s="35">
        <f t="shared" si="5"/>
        <v>998</v>
      </c>
      <c r="D8" s="36">
        <v>1</v>
      </c>
      <c r="E8" s="37">
        <f t="shared" si="0"/>
        <v>0.1002004008016032</v>
      </c>
      <c r="F8" s="36">
        <v>102</v>
      </c>
      <c r="G8" s="37">
        <f t="shared" si="1"/>
        <v>10.220440881763528</v>
      </c>
      <c r="H8" s="36">
        <v>1</v>
      </c>
      <c r="I8" s="37">
        <f t="shared" si="2"/>
        <v>0.1002004008016032</v>
      </c>
      <c r="J8" s="36">
        <v>123</v>
      </c>
      <c r="K8" s="37">
        <f t="shared" si="3"/>
        <v>12.324649298597194</v>
      </c>
      <c r="L8" s="36">
        <v>771</v>
      </c>
      <c r="M8" s="37">
        <f t="shared" si="4"/>
        <v>77.254509018036075</v>
      </c>
      <c r="N8" s="38">
        <v>0</v>
      </c>
      <c r="O8" s="39">
        <f t="shared" si="6"/>
        <v>0</v>
      </c>
      <c r="P8" s="36">
        <f t="shared" si="7"/>
        <v>997</v>
      </c>
      <c r="Q8" s="40">
        <f t="shared" si="8"/>
        <v>99.899799599198403</v>
      </c>
    </row>
    <row r="9" spans="1:88" ht="15">
      <c r="A9" s="41"/>
      <c r="B9" s="34" t="s">
        <v>14</v>
      </c>
      <c r="C9" s="35">
        <f t="shared" si="5"/>
        <v>249</v>
      </c>
      <c r="D9" s="36">
        <f>3+1+6+3+25+41+17+4+14-F9</f>
        <v>108</v>
      </c>
      <c r="E9" s="37">
        <f t="shared" si="0"/>
        <v>43.373493975903614</v>
      </c>
      <c r="F9" s="36">
        <v>6</v>
      </c>
      <c r="G9" s="37">
        <f t="shared" si="1"/>
        <v>2.4096385542168677</v>
      </c>
      <c r="H9" s="36">
        <f>2+3+6</f>
        <v>11</v>
      </c>
      <c r="I9" s="37">
        <f t="shared" si="2"/>
        <v>4.4176706827309236</v>
      </c>
      <c r="J9" s="36">
        <f>10+3+7</f>
        <v>20</v>
      </c>
      <c r="K9" s="37">
        <f t="shared" si="3"/>
        <v>8.0321285140562253</v>
      </c>
      <c r="L9" s="36">
        <v>102</v>
      </c>
      <c r="M9" s="37">
        <f t="shared" si="4"/>
        <v>40.963855421686745</v>
      </c>
      <c r="N9" s="38">
        <v>2</v>
      </c>
      <c r="O9" s="39">
        <f t="shared" si="6"/>
        <v>8.0321285140562242E-3</v>
      </c>
      <c r="P9" s="36">
        <f t="shared" si="7"/>
        <v>141</v>
      </c>
      <c r="Q9" s="40">
        <f t="shared" si="8"/>
        <v>56.626506024096393</v>
      </c>
    </row>
    <row r="10" spans="1:88" ht="15">
      <c r="A10" s="33"/>
      <c r="B10" s="34" t="s">
        <v>15</v>
      </c>
      <c r="C10" s="35">
        <f t="shared" si="5"/>
        <v>237</v>
      </c>
      <c r="D10" s="36">
        <f>4+72+10-F10</f>
        <v>83</v>
      </c>
      <c r="E10" s="37">
        <f t="shared" si="0"/>
        <v>35.021097046413502</v>
      </c>
      <c r="F10" s="36">
        <v>3</v>
      </c>
      <c r="G10" s="37">
        <f t="shared" si="1"/>
        <v>1.2658227848101267</v>
      </c>
      <c r="H10" s="36">
        <v>2</v>
      </c>
      <c r="I10" s="37">
        <f t="shared" si="2"/>
        <v>0.8438818565400843</v>
      </c>
      <c r="J10" s="36">
        <f>56</f>
        <v>56</v>
      </c>
      <c r="K10" s="37">
        <f t="shared" si="3"/>
        <v>23.628691983122362</v>
      </c>
      <c r="L10" s="36">
        <v>85</v>
      </c>
      <c r="M10" s="37">
        <f t="shared" si="4"/>
        <v>35.864978902953588</v>
      </c>
      <c r="N10" s="38">
        <v>8</v>
      </c>
      <c r="O10" s="39">
        <f t="shared" si="6"/>
        <v>3.3755274261603373E-2</v>
      </c>
      <c r="P10" s="36">
        <f t="shared" si="7"/>
        <v>154</v>
      </c>
      <c r="Q10" s="40">
        <f t="shared" si="8"/>
        <v>64.978902953586498</v>
      </c>
    </row>
    <row r="11" spans="1:88" ht="15.75" thickBot="1">
      <c r="A11" s="42"/>
      <c r="B11" s="43" t="s">
        <v>16</v>
      </c>
      <c r="C11" s="44">
        <f t="shared" si="5"/>
        <v>622</v>
      </c>
      <c r="D11" s="45">
        <f>7+19+11+3+6+1+25+251+1+3+46-F11</f>
        <v>299</v>
      </c>
      <c r="E11" s="46">
        <f t="shared" si="0"/>
        <v>48.070739549839232</v>
      </c>
      <c r="F11" s="45">
        <v>74</v>
      </c>
      <c r="G11" s="46">
        <f t="shared" si="1"/>
        <v>11.89710610932476</v>
      </c>
      <c r="H11" s="45">
        <v>46</v>
      </c>
      <c r="I11" s="46">
        <f t="shared" si="2"/>
        <v>7.395498392282958</v>
      </c>
      <c r="J11" s="45">
        <v>59</v>
      </c>
      <c r="K11" s="46">
        <f t="shared" si="3"/>
        <v>9.485530546623794</v>
      </c>
      <c r="L11" s="45">
        <v>142</v>
      </c>
      <c r="M11" s="46">
        <f t="shared" si="4"/>
        <v>22.829581993569132</v>
      </c>
      <c r="N11" s="47">
        <v>2</v>
      </c>
      <c r="O11" s="48">
        <f t="shared" si="6"/>
        <v>3.2154340836012861E-3</v>
      </c>
      <c r="P11" s="45">
        <f t="shared" si="7"/>
        <v>323</v>
      </c>
      <c r="Q11" s="49">
        <f t="shared" si="8"/>
        <v>51.929260450160776</v>
      </c>
    </row>
    <row r="12" spans="1:88" s="24" customFormat="1" ht="16.5" thickTop="1" thickBot="1">
      <c r="A12" s="75" t="s">
        <v>17</v>
      </c>
      <c r="B12" s="76"/>
      <c r="C12" s="18">
        <f t="shared" si="5"/>
        <v>2106</v>
      </c>
      <c r="D12" s="19">
        <f>SUM(D13:D17)</f>
        <v>877</v>
      </c>
      <c r="E12" s="20">
        <f t="shared" si="0"/>
        <v>41.642924976258314</v>
      </c>
      <c r="F12" s="19">
        <f>SUM(F13:F17)</f>
        <v>205</v>
      </c>
      <c r="G12" s="20">
        <f t="shared" si="1"/>
        <v>9.7340930674264019</v>
      </c>
      <c r="H12" s="19">
        <f>SUM(H13:H17)</f>
        <v>127</v>
      </c>
      <c r="I12" s="20">
        <f t="shared" si="2"/>
        <v>6.0303893637226968</v>
      </c>
      <c r="J12" s="19">
        <f>SUM(J13:J17)</f>
        <v>285</v>
      </c>
      <c r="K12" s="20">
        <f t="shared" si="3"/>
        <v>13.532763532763534</v>
      </c>
      <c r="L12" s="19">
        <f>SUM(L13:L17)</f>
        <v>589</v>
      </c>
      <c r="M12" s="20">
        <f t="shared" si="4"/>
        <v>27.967711301044634</v>
      </c>
      <c r="N12" s="21">
        <f>SUM(N13:N17)</f>
        <v>23</v>
      </c>
      <c r="O12" s="22">
        <f t="shared" si="6"/>
        <v>1.0921177587844255E-2</v>
      </c>
      <c r="P12" s="19">
        <f t="shared" si="7"/>
        <v>1229</v>
      </c>
      <c r="Q12" s="23">
        <f t="shared" si="8"/>
        <v>58.357075023741686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</row>
    <row r="13" spans="1:88" ht="15.75" thickTop="1">
      <c r="A13" s="25"/>
      <c r="B13" s="26" t="s">
        <v>18</v>
      </c>
      <c r="C13" s="27">
        <f t="shared" si="5"/>
        <v>99</v>
      </c>
      <c r="D13" s="28">
        <v>28</v>
      </c>
      <c r="E13" s="29">
        <f t="shared" si="0"/>
        <v>28.28282828282828</v>
      </c>
      <c r="F13" s="28">
        <v>11</v>
      </c>
      <c r="G13" s="29">
        <f t="shared" si="1"/>
        <v>11.111111111111111</v>
      </c>
      <c r="H13" s="28">
        <v>4</v>
      </c>
      <c r="I13" s="29">
        <f t="shared" si="2"/>
        <v>4.0404040404040407</v>
      </c>
      <c r="J13" s="28">
        <v>7</v>
      </c>
      <c r="K13" s="29">
        <f t="shared" si="3"/>
        <v>7.0707070707070701</v>
      </c>
      <c r="L13" s="50">
        <v>49</v>
      </c>
      <c r="M13" s="29">
        <f t="shared" si="4"/>
        <v>49.494949494949495</v>
      </c>
      <c r="N13" s="30">
        <v>0</v>
      </c>
      <c r="O13" s="31">
        <f t="shared" si="6"/>
        <v>0</v>
      </c>
      <c r="P13" s="28">
        <f t="shared" si="7"/>
        <v>71</v>
      </c>
      <c r="Q13" s="32">
        <f t="shared" si="8"/>
        <v>71.717171717171709</v>
      </c>
    </row>
    <row r="14" spans="1:88" ht="15">
      <c r="A14" s="33"/>
      <c r="B14" s="34" t="s">
        <v>19</v>
      </c>
      <c r="C14" s="35">
        <f t="shared" si="5"/>
        <v>1252</v>
      </c>
      <c r="D14" s="36">
        <v>553</v>
      </c>
      <c r="E14" s="37">
        <f t="shared" si="0"/>
        <v>44.16932907348243</v>
      </c>
      <c r="F14" s="36">
        <v>159</v>
      </c>
      <c r="G14" s="37">
        <f t="shared" si="1"/>
        <v>12.699680511182109</v>
      </c>
      <c r="H14" s="36">
        <v>72</v>
      </c>
      <c r="I14" s="37">
        <f t="shared" si="2"/>
        <v>5.7507987220447285</v>
      </c>
      <c r="J14" s="36">
        <f>10+6+2+98+7+1</f>
        <v>124</v>
      </c>
      <c r="K14" s="37">
        <f t="shared" si="3"/>
        <v>9.9041533546325873</v>
      </c>
      <c r="L14" s="36">
        <v>331</v>
      </c>
      <c r="M14" s="37">
        <f t="shared" si="4"/>
        <v>26.437699680511184</v>
      </c>
      <c r="N14" s="38">
        <v>13</v>
      </c>
      <c r="O14" s="39">
        <f t="shared" si="6"/>
        <v>1.0383386581469648E-2</v>
      </c>
      <c r="P14" s="36">
        <f t="shared" si="7"/>
        <v>699</v>
      </c>
      <c r="Q14" s="40">
        <f t="shared" si="8"/>
        <v>55.83067092651757</v>
      </c>
    </row>
    <row r="15" spans="1:88" ht="15">
      <c r="A15" s="51"/>
      <c r="B15" s="34" t="s">
        <v>20</v>
      </c>
      <c r="C15" s="35">
        <f t="shared" si="5"/>
        <v>25</v>
      </c>
      <c r="D15" s="36">
        <v>15</v>
      </c>
      <c r="E15" s="37">
        <f t="shared" si="0"/>
        <v>60</v>
      </c>
      <c r="F15" s="36">
        <v>0</v>
      </c>
      <c r="G15" s="37">
        <f t="shared" si="1"/>
        <v>0</v>
      </c>
      <c r="H15" s="36">
        <v>4</v>
      </c>
      <c r="I15" s="37">
        <f t="shared" si="2"/>
        <v>16</v>
      </c>
      <c r="J15" s="36">
        <f>0</f>
        <v>0</v>
      </c>
      <c r="K15" s="37">
        <f t="shared" si="3"/>
        <v>0</v>
      </c>
      <c r="L15" s="36">
        <v>6</v>
      </c>
      <c r="M15" s="37">
        <f t="shared" si="4"/>
        <v>24</v>
      </c>
      <c r="N15" s="38">
        <v>0</v>
      </c>
      <c r="O15" s="39">
        <f t="shared" si="6"/>
        <v>0</v>
      </c>
      <c r="P15" s="36">
        <f t="shared" si="7"/>
        <v>10</v>
      </c>
      <c r="Q15" s="40">
        <f t="shared" si="8"/>
        <v>40</v>
      </c>
    </row>
    <row r="16" spans="1:88" ht="15">
      <c r="A16" s="51"/>
      <c r="B16" s="34" t="s">
        <v>21</v>
      </c>
      <c r="C16" s="35">
        <f t="shared" si="5"/>
        <v>267</v>
      </c>
      <c r="D16" s="36">
        <v>109</v>
      </c>
      <c r="E16" s="37">
        <f t="shared" si="0"/>
        <v>40.823970037453186</v>
      </c>
      <c r="F16" s="36">
        <v>0</v>
      </c>
      <c r="G16" s="37">
        <f t="shared" si="1"/>
        <v>0</v>
      </c>
      <c r="H16" s="36">
        <v>26</v>
      </c>
      <c r="I16" s="37">
        <f t="shared" si="2"/>
        <v>9.7378277153558059</v>
      </c>
      <c r="J16" s="36">
        <f>18+35+20</f>
        <v>73</v>
      </c>
      <c r="K16" s="37">
        <f t="shared" si="3"/>
        <v>27.340823970037455</v>
      </c>
      <c r="L16" s="36">
        <v>57</v>
      </c>
      <c r="M16" s="37">
        <f t="shared" si="4"/>
        <v>21.348314606741571</v>
      </c>
      <c r="N16" s="38">
        <v>2</v>
      </c>
      <c r="O16" s="39">
        <f t="shared" si="6"/>
        <v>7.4906367041198503E-3</v>
      </c>
      <c r="P16" s="36">
        <f t="shared" si="7"/>
        <v>158</v>
      </c>
      <c r="Q16" s="40">
        <f t="shared" si="8"/>
        <v>59.176029962546814</v>
      </c>
    </row>
    <row r="17" spans="1:88" ht="15.75" thickBot="1">
      <c r="A17" s="52"/>
      <c r="B17" s="43" t="s">
        <v>22</v>
      </c>
      <c r="C17" s="44">
        <f t="shared" si="5"/>
        <v>463</v>
      </c>
      <c r="D17" s="45">
        <v>172</v>
      </c>
      <c r="E17" s="46">
        <f t="shared" si="0"/>
        <v>37.149028077753783</v>
      </c>
      <c r="F17" s="45">
        <v>35</v>
      </c>
      <c r="G17" s="46">
        <f t="shared" si="1"/>
        <v>7.5593952483801292</v>
      </c>
      <c r="H17" s="45">
        <v>21</v>
      </c>
      <c r="I17" s="46">
        <f t="shared" si="2"/>
        <v>4.5356371490280782</v>
      </c>
      <c r="J17" s="45">
        <f>81</f>
        <v>81</v>
      </c>
      <c r="K17" s="46">
        <f t="shared" si="3"/>
        <v>17.494600431965441</v>
      </c>
      <c r="L17" s="45">
        <v>146</v>
      </c>
      <c r="M17" s="46">
        <f t="shared" si="4"/>
        <v>31.533477321814257</v>
      </c>
      <c r="N17" s="47">
        <v>8</v>
      </c>
      <c r="O17" s="48">
        <f t="shared" si="6"/>
        <v>1.7278617710583154E-2</v>
      </c>
      <c r="P17" s="45">
        <f t="shared" si="7"/>
        <v>291</v>
      </c>
      <c r="Q17" s="49">
        <f t="shared" si="8"/>
        <v>62.850971922246224</v>
      </c>
    </row>
    <row r="18" spans="1:88" s="24" customFormat="1" ht="16.5" thickTop="1" thickBot="1">
      <c r="A18" s="75" t="s">
        <v>23</v>
      </c>
      <c r="B18" s="76"/>
      <c r="C18" s="18">
        <f t="shared" si="5"/>
        <v>3171</v>
      </c>
      <c r="D18" s="19">
        <f>SUM(D19:D23)</f>
        <v>1295</v>
      </c>
      <c r="E18" s="20">
        <f t="shared" si="0"/>
        <v>40.838852097130243</v>
      </c>
      <c r="F18" s="19">
        <f>SUM(F19:F23)</f>
        <v>512</v>
      </c>
      <c r="G18" s="20">
        <f t="shared" si="1"/>
        <v>16.146326080100913</v>
      </c>
      <c r="H18" s="19">
        <f>SUM(H19:H23)</f>
        <v>116</v>
      </c>
      <c r="I18" s="20">
        <f t="shared" si="2"/>
        <v>3.658152002522864</v>
      </c>
      <c r="J18" s="19">
        <f>SUM(J19:J23)</f>
        <v>336</v>
      </c>
      <c r="K18" s="20">
        <f t="shared" si="3"/>
        <v>10.596026490066226</v>
      </c>
      <c r="L18" s="19">
        <f>SUM(L19:L23)</f>
        <v>878</v>
      </c>
      <c r="M18" s="20">
        <f t="shared" si="4"/>
        <v>27.688426363923053</v>
      </c>
      <c r="N18" s="21">
        <f>SUM(N19:N23)</f>
        <v>34</v>
      </c>
      <c r="O18" s="22">
        <f t="shared" si="6"/>
        <v>1.0722169662567014E-2</v>
      </c>
      <c r="P18" s="19">
        <f t="shared" si="7"/>
        <v>1876</v>
      </c>
      <c r="Q18" s="23">
        <f t="shared" si="8"/>
        <v>59.161147902869757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ht="15.75" thickTop="1">
      <c r="A19" s="25"/>
      <c r="B19" s="26" t="s">
        <v>24</v>
      </c>
      <c r="C19" s="27">
        <f t="shared" si="5"/>
        <v>633</v>
      </c>
      <c r="D19" s="28">
        <f>4+2+20+1+55+73+48+110+7+18+17-107</f>
        <v>248</v>
      </c>
      <c r="E19" s="29">
        <f t="shared" si="0"/>
        <v>39.178515007898895</v>
      </c>
      <c r="F19" s="28">
        <v>107</v>
      </c>
      <c r="G19" s="29">
        <f t="shared" si="1"/>
        <v>16.903633491311215</v>
      </c>
      <c r="H19" s="28">
        <f>7+8+2+1</f>
        <v>18</v>
      </c>
      <c r="I19" s="29">
        <f t="shared" si="2"/>
        <v>2.8436018957345972</v>
      </c>
      <c r="J19" s="28">
        <f>10+2+4+2</f>
        <v>18</v>
      </c>
      <c r="K19" s="29">
        <f t="shared" si="3"/>
        <v>2.8436018957345972</v>
      </c>
      <c r="L19" s="28">
        <v>240</v>
      </c>
      <c r="M19" s="29">
        <f t="shared" si="4"/>
        <v>37.914691943127963</v>
      </c>
      <c r="N19" s="30">
        <v>2</v>
      </c>
      <c r="O19" s="31">
        <f t="shared" si="6"/>
        <v>3.1595576619273301E-3</v>
      </c>
      <c r="P19" s="28">
        <f t="shared" si="7"/>
        <v>385</v>
      </c>
      <c r="Q19" s="32">
        <f t="shared" si="8"/>
        <v>60.821484992101105</v>
      </c>
    </row>
    <row r="20" spans="1:88" ht="15">
      <c r="A20" s="33"/>
      <c r="B20" s="34" t="s">
        <v>25</v>
      </c>
      <c r="C20" s="35">
        <f t="shared" si="5"/>
        <v>706</v>
      </c>
      <c r="D20" s="36">
        <f>3+7+5+40+60+52+165+11+32+33-161</f>
        <v>247</v>
      </c>
      <c r="E20" s="37">
        <f t="shared" si="0"/>
        <v>34.985835694050991</v>
      </c>
      <c r="F20" s="36">
        <v>161</v>
      </c>
      <c r="G20" s="37">
        <f t="shared" si="1"/>
        <v>22.804532577903682</v>
      </c>
      <c r="H20" s="36">
        <f>8+3+1+17</f>
        <v>29</v>
      </c>
      <c r="I20" s="37">
        <f t="shared" si="2"/>
        <v>4.1076487252124654</v>
      </c>
      <c r="J20" s="36">
        <f>16+20+17</f>
        <v>53</v>
      </c>
      <c r="K20" s="37">
        <f t="shared" si="3"/>
        <v>7.5070821529745047</v>
      </c>
      <c r="L20" s="36">
        <v>209</v>
      </c>
      <c r="M20" s="37">
        <f t="shared" si="4"/>
        <v>29.603399433427764</v>
      </c>
      <c r="N20" s="38">
        <v>7</v>
      </c>
      <c r="O20" s="39">
        <f t="shared" si="6"/>
        <v>9.9150141643059488E-3</v>
      </c>
      <c r="P20" s="36">
        <f t="shared" si="7"/>
        <v>459</v>
      </c>
      <c r="Q20" s="40">
        <f t="shared" si="8"/>
        <v>65.014164305949009</v>
      </c>
    </row>
    <row r="21" spans="1:88" ht="15">
      <c r="A21" s="51"/>
      <c r="B21" s="34" t="s">
        <v>26</v>
      </c>
      <c r="C21" s="35">
        <f t="shared" si="5"/>
        <v>170</v>
      </c>
      <c r="D21" s="36">
        <f>1+72+13-19</f>
        <v>67</v>
      </c>
      <c r="E21" s="37">
        <f t="shared" si="0"/>
        <v>39.411764705882355</v>
      </c>
      <c r="F21" s="36">
        <v>19</v>
      </c>
      <c r="G21" s="37">
        <f t="shared" si="1"/>
        <v>11.176470588235295</v>
      </c>
      <c r="H21" s="36">
        <v>1</v>
      </c>
      <c r="I21" s="37">
        <f t="shared" si="2"/>
        <v>0.58823529411764708</v>
      </c>
      <c r="J21" s="36">
        <f>26</f>
        <v>26</v>
      </c>
      <c r="K21" s="37">
        <f t="shared" si="3"/>
        <v>15.294117647058824</v>
      </c>
      <c r="L21" s="36">
        <v>56</v>
      </c>
      <c r="M21" s="37">
        <f t="shared" si="4"/>
        <v>32.941176470588232</v>
      </c>
      <c r="N21" s="38">
        <v>1</v>
      </c>
      <c r="O21" s="39">
        <f t="shared" si="6"/>
        <v>5.8823529411764705E-3</v>
      </c>
      <c r="P21" s="36">
        <f t="shared" si="7"/>
        <v>103</v>
      </c>
      <c r="Q21" s="40">
        <f t="shared" si="8"/>
        <v>60.588235294117645</v>
      </c>
    </row>
    <row r="22" spans="1:88" ht="15">
      <c r="A22" s="51"/>
      <c r="B22" s="34" t="s">
        <v>27</v>
      </c>
      <c r="C22" s="35">
        <f t="shared" si="5"/>
        <v>484</v>
      </c>
      <c r="D22" s="36">
        <f>3+5+86+127+21+37-49</f>
        <v>230</v>
      </c>
      <c r="E22" s="37">
        <f t="shared" si="0"/>
        <v>47.520661157024797</v>
      </c>
      <c r="F22" s="36">
        <v>49</v>
      </c>
      <c r="G22" s="37">
        <f t="shared" si="1"/>
        <v>10.12396694214876</v>
      </c>
      <c r="H22" s="36">
        <f>13+26</f>
        <v>39</v>
      </c>
      <c r="I22" s="37">
        <f t="shared" si="2"/>
        <v>8.0578512396694215</v>
      </c>
      <c r="J22" s="36">
        <f>4+12</f>
        <v>16</v>
      </c>
      <c r="K22" s="37">
        <f t="shared" si="3"/>
        <v>3.3057851239669422</v>
      </c>
      <c r="L22" s="36">
        <v>139</v>
      </c>
      <c r="M22" s="37">
        <f t="shared" si="4"/>
        <v>28.719008264462808</v>
      </c>
      <c r="N22" s="38">
        <v>11</v>
      </c>
      <c r="O22" s="39">
        <f t="shared" si="6"/>
        <v>2.2727272727272728E-2</v>
      </c>
      <c r="P22" s="36">
        <f t="shared" si="7"/>
        <v>254</v>
      </c>
      <c r="Q22" s="40">
        <f t="shared" si="8"/>
        <v>52.47933884297521</v>
      </c>
    </row>
    <row r="23" spans="1:88" ht="15.75" thickBot="1">
      <c r="A23" s="52"/>
      <c r="B23" s="43" t="s">
        <v>28</v>
      </c>
      <c r="C23" s="44">
        <f t="shared" si="5"/>
        <v>1178</v>
      </c>
      <c r="D23" s="45">
        <f>4+5+3+33+6+79+78+37+17+131+180+21+26+12+16+31-176</f>
        <v>503</v>
      </c>
      <c r="E23" s="46">
        <f t="shared" si="0"/>
        <v>42.699490662139219</v>
      </c>
      <c r="F23" s="45">
        <v>176</v>
      </c>
      <c r="G23" s="46">
        <f t="shared" si="1"/>
        <v>14.940577249575551</v>
      </c>
      <c r="H23" s="45">
        <f>2+2+0+10+11+4</f>
        <v>29</v>
      </c>
      <c r="I23" s="46">
        <f t="shared" si="2"/>
        <v>2.4617996604414261</v>
      </c>
      <c r="J23" s="45">
        <f>41+36+9+1+33+103</f>
        <v>223</v>
      </c>
      <c r="K23" s="46">
        <f t="shared" si="3"/>
        <v>18.930390492359933</v>
      </c>
      <c r="L23" s="45">
        <v>234</v>
      </c>
      <c r="M23" s="46">
        <f t="shared" si="4"/>
        <v>19.864176570458405</v>
      </c>
      <c r="N23" s="47">
        <v>13</v>
      </c>
      <c r="O23" s="48">
        <f t="shared" si="6"/>
        <v>1.1035653650254669E-2</v>
      </c>
      <c r="P23" s="45">
        <f t="shared" si="7"/>
        <v>675</v>
      </c>
      <c r="Q23" s="49">
        <f t="shared" si="8"/>
        <v>57.300509337860781</v>
      </c>
    </row>
    <row r="24" spans="1:88" s="24" customFormat="1" ht="16.5" thickTop="1" thickBot="1">
      <c r="A24" s="75" t="s">
        <v>29</v>
      </c>
      <c r="B24" s="76"/>
      <c r="C24" s="18">
        <f t="shared" si="5"/>
        <v>1097</v>
      </c>
      <c r="D24" s="19">
        <f>SUM(D25:D35)</f>
        <v>497</v>
      </c>
      <c r="E24" s="20">
        <f t="shared" si="0"/>
        <v>45.305378304466728</v>
      </c>
      <c r="F24" s="19">
        <f>SUM(F25:F35)</f>
        <v>49</v>
      </c>
      <c r="G24" s="20">
        <f t="shared" si="1"/>
        <v>4.4667274384685509</v>
      </c>
      <c r="H24" s="19">
        <f>SUM(H25:H35)</f>
        <v>28</v>
      </c>
      <c r="I24" s="20">
        <f t="shared" si="2"/>
        <v>2.552415679124886</v>
      </c>
      <c r="J24" s="19">
        <f>SUM(J25:J35)</f>
        <v>138</v>
      </c>
      <c r="K24" s="20">
        <f t="shared" si="3"/>
        <v>12.579762989972654</v>
      </c>
      <c r="L24" s="19">
        <f>SUM(L25:L35)</f>
        <v>380</v>
      </c>
      <c r="M24" s="20">
        <f t="shared" si="4"/>
        <v>34.63992707383774</v>
      </c>
      <c r="N24" s="21">
        <f>SUM(N25:N35)</f>
        <v>5</v>
      </c>
      <c r="O24" s="22">
        <f t="shared" si="6"/>
        <v>4.5578851412944391E-3</v>
      </c>
      <c r="P24" s="19">
        <f t="shared" si="7"/>
        <v>600</v>
      </c>
      <c r="Q24" s="23">
        <f t="shared" si="8"/>
        <v>54.694621695533272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ht="15.75" thickTop="1">
      <c r="A25" s="25"/>
      <c r="B25" s="26" t="s">
        <v>30</v>
      </c>
      <c r="C25" s="27">
        <f t="shared" si="5"/>
        <v>138</v>
      </c>
      <c r="D25" s="28">
        <v>52</v>
      </c>
      <c r="E25" s="29">
        <f t="shared" si="0"/>
        <v>37.681159420289859</v>
      </c>
      <c r="F25" s="28">
        <v>0</v>
      </c>
      <c r="G25" s="29">
        <f t="shared" si="1"/>
        <v>0</v>
      </c>
      <c r="H25" s="28">
        <v>6</v>
      </c>
      <c r="I25" s="29">
        <f>(H25/C25)*100</f>
        <v>4.3478260869565215</v>
      </c>
      <c r="J25" s="28">
        <v>17</v>
      </c>
      <c r="K25" s="29">
        <f t="shared" si="3"/>
        <v>12.318840579710146</v>
      </c>
      <c r="L25" s="28">
        <v>62</v>
      </c>
      <c r="M25" s="29">
        <f t="shared" si="4"/>
        <v>44.927536231884055</v>
      </c>
      <c r="N25" s="30">
        <v>1</v>
      </c>
      <c r="O25" s="31">
        <f t="shared" si="6"/>
        <v>7.246376811594203E-3</v>
      </c>
      <c r="P25" s="28">
        <f t="shared" si="7"/>
        <v>86</v>
      </c>
      <c r="Q25" s="32">
        <f t="shared" si="8"/>
        <v>62.318840579710141</v>
      </c>
    </row>
    <row r="26" spans="1:88" ht="15">
      <c r="A26" s="33"/>
      <c r="B26" s="34" t="s">
        <v>31</v>
      </c>
      <c r="C26" s="35">
        <f t="shared" si="5"/>
        <v>36</v>
      </c>
      <c r="D26" s="36">
        <v>5</v>
      </c>
      <c r="E26" s="37">
        <f t="shared" si="0"/>
        <v>13.888888888888889</v>
      </c>
      <c r="F26" s="36">
        <v>0</v>
      </c>
      <c r="G26" s="37">
        <f t="shared" si="1"/>
        <v>0</v>
      </c>
      <c r="H26" s="36">
        <v>10</v>
      </c>
      <c r="I26" s="37">
        <f t="shared" si="2"/>
        <v>27.777777777777779</v>
      </c>
      <c r="J26" s="36">
        <v>20</v>
      </c>
      <c r="K26" s="37">
        <f t="shared" si="3"/>
        <v>55.555555555555557</v>
      </c>
      <c r="L26" s="36">
        <v>1</v>
      </c>
      <c r="M26" s="37">
        <f t="shared" si="4"/>
        <v>2.7777777777777777</v>
      </c>
      <c r="N26" s="38">
        <v>0</v>
      </c>
      <c r="O26" s="39">
        <f t="shared" si="6"/>
        <v>0</v>
      </c>
      <c r="P26" s="36">
        <f t="shared" si="7"/>
        <v>31</v>
      </c>
      <c r="Q26" s="40">
        <f t="shared" si="8"/>
        <v>86.111111111111114</v>
      </c>
    </row>
    <row r="27" spans="1:88" ht="15">
      <c r="A27" s="51"/>
      <c r="B27" s="34" t="s">
        <v>32</v>
      </c>
      <c r="C27" s="35">
        <f t="shared" si="5"/>
        <v>446</v>
      </c>
      <c r="D27" s="36">
        <v>247</v>
      </c>
      <c r="E27" s="37">
        <f t="shared" si="0"/>
        <v>55.381165919282516</v>
      </c>
      <c r="F27" s="36">
        <v>12</v>
      </c>
      <c r="G27" s="37">
        <f t="shared" si="1"/>
        <v>2.6905829596412558</v>
      </c>
      <c r="H27" s="36">
        <v>10</v>
      </c>
      <c r="I27" s="37">
        <f t="shared" si="2"/>
        <v>2.2421524663677128</v>
      </c>
      <c r="J27" s="36">
        <v>41</v>
      </c>
      <c r="K27" s="37">
        <f t="shared" si="3"/>
        <v>9.1928251121076237</v>
      </c>
      <c r="L27" s="36">
        <v>134</v>
      </c>
      <c r="M27" s="37">
        <f t="shared" si="4"/>
        <v>30.044843049327351</v>
      </c>
      <c r="N27" s="38">
        <v>2</v>
      </c>
      <c r="O27" s="39">
        <f t="shared" si="6"/>
        <v>4.4843049327354259E-3</v>
      </c>
      <c r="P27" s="36">
        <f t="shared" si="7"/>
        <v>199</v>
      </c>
      <c r="Q27" s="40">
        <f t="shared" si="8"/>
        <v>44.618834080717491</v>
      </c>
    </row>
    <row r="28" spans="1:88" ht="15">
      <c r="A28" s="51"/>
      <c r="B28" s="34" t="s">
        <v>33</v>
      </c>
      <c r="C28" s="35">
        <f t="shared" si="5"/>
        <v>72</v>
      </c>
      <c r="D28" s="36">
        <v>38</v>
      </c>
      <c r="E28" s="37">
        <f t="shared" si="0"/>
        <v>52.777777777777779</v>
      </c>
      <c r="F28" s="36">
        <v>0</v>
      </c>
      <c r="G28" s="37">
        <f t="shared" si="1"/>
        <v>0</v>
      </c>
      <c r="H28" s="36">
        <v>0</v>
      </c>
      <c r="I28" s="37">
        <f t="shared" si="2"/>
        <v>0</v>
      </c>
      <c r="J28" s="36">
        <v>8</v>
      </c>
      <c r="K28" s="37">
        <f t="shared" si="3"/>
        <v>11.111111111111111</v>
      </c>
      <c r="L28" s="36">
        <v>26</v>
      </c>
      <c r="M28" s="37">
        <f t="shared" si="4"/>
        <v>36.111111111111107</v>
      </c>
      <c r="N28" s="38">
        <v>0</v>
      </c>
      <c r="O28" s="39">
        <f t="shared" si="6"/>
        <v>0</v>
      </c>
      <c r="P28" s="36">
        <f t="shared" si="7"/>
        <v>34</v>
      </c>
      <c r="Q28" s="40">
        <f t="shared" si="8"/>
        <v>47.222222222222221</v>
      </c>
    </row>
    <row r="29" spans="1:88" ht="15">
      <c r="A29" s="51"/>
      <c r="B29" s="34" t="s">
        <v>34</v>
      </c>
      <c r="C29" s="35">
        <f t="shared" si="5"/>
        <v>227</v>
      </c>
      <c r="D29" s="36">
        <v>83</v>
      </c>
      <c r="E29" s="37">
        <f t="shared" si="0"/>
        <v>36.563876651982383</v>
      </c>
      <c r="F29" s="36">
        <v>22</v>
      </c>
      <c r="G29" s="37">
        <f t="shared" si="1"/>
        <v>9.6916299559471373</v>
      </c>
      <c r="H29" s="36">
        <v>0</v>
      </c>
      <c r="I29" s="37">
        <f t="shared" si="2"/>
        <v>0</v>
      </c>
      <c r="J29" s="36">
        <v>21</v>
      </c>
      <c r="K29" s="37">
        <f t="shared" si="3"/>
        <v>9.251101321585903</v>
      </c>
      <c r="L29" s="36">
        <v>101</v>
      </c>
      <c r="M29" s="37">
        <f t="shared" si="4"/>
        <v>44.493392070484582</v>
      </c>
      <c r="N29" s="38">
        <v>0</v>
      </c>
      <c r="O29" s="39">
        <f t="shared" si="6"/>
        <v>0</v>
      </c>
      <c r="P29" s="36">
        <f t="shared" si="7"/>
        <v>144</v>
      </c>
      <c r="Q29" s="40">
        <f t="shared" si="8"/>
        <v>63.436123348017624</v>
      </c>
    </row>
    <row r="30" spans="1:88" ht="15">
      <c r="A30" s="51"/>
      <c r="B30" s="34" t="s">
        <v>35</v>
      </c>
      <c r="C30" s="35">
        <f t="shared" si="5"/>
        <v>44</v>
      </c>
      <c r="D30" s="36">
        <v>20</v>
      </c>
      <c r="E30" s="37">
        <f t="shared" si="0"/>
        <v>45.454545454545453</v>
      </c>
      <c r="F30" s="36">
        <v>0</v>
      </c>
      <c r="G30" s="37">
        <f t="shared" si="1"/>
        <v>0</v>
      </c>
      <c r="H30" s="36">
        <v>0</v>
      </c>
      <c r="I30" s="37">
        <f t="shared" si="2"/>
        <v>0</v>
      </c>
      <c r="J30" s="36">
        <v>10</v>
      </c>
      <c r="K30" s="37">
        <f t="shared" si="3"/>
        <v>22.727272727272727</v>
      </c>
      <c r="L30" s="36">
        <v>13</v>
      </c>
      <c r="M30" s="37">
        <f t="shared" si="4"/>
        <v>29.545454545454547</v>
      </c>
      <c r="N30" s="38">
        <v>1</v>
      </c>
      <c r="O30" s="39">
        <f t="shared" si="6"/>
        <v>2.2727272727272728E-2</v>
      </c>
      <c r="P30" s="36">
        <f t="shared" si="7"/>
        <v>24</v>
      </c>
      <c r="Q30" s="40">
        <f t="shared" si="8"/>
        <v>54.54545454545454</v>
      </c>
    </row>
    <row r="31" spans="1:88" ht="15">
      <c r="A31" s="51"/>
      <c r="B31" s="34" t="s">
        <v>36</v>
      </c>
      <c r="C31" s="35">
        <f t="shared" si="5"/>
        <v>13</v>
      </c>
      <c r="D31" s="36">
        <v>9</v>
      </c>
      <c r="E31" s="37">
        <f t="shared" si="0"/>
        <v>69.230769230769226</v>
      </c>
      <c r="F31" s="36">
        <v>0</v>
      </c>
      <c r="G31" s="37">
        <f t="shared" si="1"/>
        <v>0</v>
      </c>
      <c r="H31" s="36">
        <v>0</v>
      </c>
      <c r="I31" s="37">
        <f t="shared" si="2"/>
        <v>0</v>
      </c>
      <c r="J31" s="36">
        <v>4</v>
      </c>
      <c r="K31" s="37">
        <f t="shared" si="3"/>
        <v>30.76923076923077</v>
      </c>
      <c r="L31" s="36">
        <v>0</v>
      </c>
      <c r="M31" s="37">
        <f t="shared" si="4"/>
        <v>0</v>
      </c>
      <c r="N31" s="38">
        <v>0</v>
      </c>
      <c r="O31" s="39">
        <f t="shared" si="6"/>
        <v>0</v>
      </c>
      <c r="P31" s="36">
        <f t="shared" si="7"/>
        <v>4</v>
      </c>
      <c r="Q31" s="40">
        <f t="shared" si="8"/>
        <v>30.76923076923077</v>
      </c>
    </row>
    <row r="32" spans="1:88" ht="15">
      <c r="A32" s="51"/>
      <c r="B32" s="34" t="s">
        <v>37</v>
      </c>
      <c r="C32" s="35">
        <f t="shared" si="5"/>
        <v>13</v>
      </c>
      <c r="D32" s="36">
        <v>8</v>
      </c>
      <c r="E32" s="37">
        <f t="shared" si="0"/>
        <v>61.53846153846154</v>
      </c>
      <c r="F32" s="36">
        <v>0</v>
      </c>
      <c r="G32" s="37">
        <f t="shared" si="1"/>
        <v>0</v>
      </c>
      <c r="H32" s="36">
        <v>0</v>
      </c>
      <c r="I32" s="37">
        <f t="shared" si="2"/>
        <v>0</v>
      </c>
      <c r="J32" s="36">
        <v>2</v>
      </c>
      <c r="K32" s="37">
        <f t="shared" si="3"/>
        <v>15.384615384615385</v>
      </c>
      <c r="L32" s="36">
        <v>2</v>
      </c>
      <c r="M32" s="37">
        <f t="shared" si="4"/>
        <v>15.384615384615385</v>
      </c>
      <c r="N32" s="38">
        <v>1</v>
      </c>
      <c r="O32" s="39">
        <f t="shared" si="6"/>
        <v>7.6923076923076927E-2</v>
      </c>
      <c r="P32" s="36">
        <f t="shared" si="7"/>
        <v>5</v>
      </c>
      <c r="Q32" s="40">
        <f t="shared" si="8"/>
        <v>38.461538461538467</v>
      </c>
    </row>
    <row r="33" spans="1:88" ht="15">
      <c r="A33" s="33"/>
      <c r="B33" s="34" t="s">
        <v>38</v>
      </c>
      <c r="C33" s="35">
        <f t="shared" si="5"/>
        <v>64</v>
      </c>
      <c r="D33" s="36">
        <v>18</v>
      </c>
      <c r="E33" s="37">
        <f t="shared" si="0"/>
        <v>28.125</v>
      </c>
      <c r="F33" s="36">
        <v>15</v>
      </c>
      <c r="G33" s="37">
        <f t="shared" si="1"/>
        <v>23.4375</v>
      </c>
      <c r="H33" s="36">
        <v>1</v>
      </c>
      <c r="I33" s="37">
        <f t="shared" si="2"/>
        <v>1.5625</v>
      </c>
      <c r="J33" s="36">
        <v>11</v>
      </c>
      <c r="K33" s="37">
        <f t="shared" si="3"/>
        <v>17.1875</v>
      </c>
      <c r="L33" s="36">
        <v>19</v>
      </c>
      <c r="M33" s="37">
        <f t="shared" si="4"/>
        <v>29.6875</v>
      </c>
      <c r="N33" s="38">
        <v>0</v>
      </c>
      <c r="O33" s="39">
        <f t="shared" si="6"/>
        <v>0</v>
      </c>
      <c r="P33" s="36">
        <f t="shared" si="7"/>
        <v>46</v>
      </c>
      <c r="Q33" s="40">
        <f t="shared" si="8"/>
        <v>71.875</v>
      </c>
    </row>
    <row r="34" spans="1:88" ht="15">
      <c r="A34" s="33"/>
      <c r="B34" s="34" t="s">
        <v>39</v>
      </c>
      <c r="C34" s="35">
        <f t="shared" si="5"/>
        <v>29</v>
      </c>
      <c r="D34" s="36">
        <v>9</v>
      </c>
      <c r="E34" s="37">
        <f t="shared" si="0"/>
        <v>31.03448275862069</v>
      </c>
      <c r="F34" s="36">
        <v>0</v>
      </c>
      <c r="G34" s="37">
        <f t="shared" si="1"/>
        <v>0</v>
      </c>
      <c r="H34" s="36">
        <v>0</v>
      </c>
      <c r="I34" s="37">
        <f t="shared" si="2"/>
        <v>0</v>
      </c>
      <c r="J34" s="36">
        <v>4</v>
      </c>
      <c r="K34" s="37">
        <f t="shared" si="3"/>
        <v>13.793103448275861</v>
      </c>
      <c r="L34" s="36">
        <v>16</v>
      </c>
      <c r="M34" s="37">
        <f t="shared" si="4"/>
        <v>55.172413793103445</v>
      </c>
      <c r="N34" s="38">
        <v>0</v>
      </c>
      <c r="O34" s="39">
        <f t="shared" si="6"/>
        <v>0</v>
      </c>
      <c r="P34" s="36">
        <f t="shared" si="7"/>
        <v>20</v>
      </c>
      <c r="Q34" s="40">
        <f t="shared" si="8"/>
        <v>68.965517241379317</v>
      </c>
    </row>
    <row r="35" spans="1:88" ht="15.75" thickBot="1">
      <c r="A35" s="52"/>
      <c r="B35" s="43" t="s">
        <v>40</v>
      </c>
      <c r="C35" s="44">
        <f t="shared" si="5"/>
        <v>15</v>
      </c>
      <c r="D35" s="45">
        <v>8</v>
      </c>
      <c r="E35" s="46">
        <f t="shared" si="0"/>
        <v>53.333333333333336</v>
      </c>
      <c r="F35" s="45">
        <v>0</v>
      </c>
      <c r="G35" s="46">
        <f t="shared" si="1"/>
        <v>0</v>
      </c>
      <c r="H35" s="45">
        <v>1</v>
      </c>
      <c r="I35" s="46">
        <f t="shared" si="2"/>
        <v>6.666666666666667</v>
      </c>
      <c r="J35" s="45">
        <v>0</v>
      </c>
      <c r="K35" s="46">
        <f t="shared" si="3"/>
        <v>0</v>
      </c>
      <c r="L35" s="45">
        <v>6</v>
      </c>
      <c r="M35" s="46">
        <f t="shared" si="4"/>
        <v>40</v>
      </c>
      <c r="N35" s="47">
        <v>0</v>
      </c>
      <c r="O35" s="48">
        <f t="shared" si="6"/>
        <v>0</v>
      </c>
      <c r="P35" s="45">
        <f t="shared" si="7"/>
        <v>7</v>
      </c>
      <c r="Q35" s="49">
        <f t="shared" si="8"/>
        <v>46.666666666666664</v>
      </c>
    </row>
    <row r="36" spans="1:88" s="24" customFormat="1" ht="16.5" thickTop="1" thickBot="1">
      <c r="A36" s="75" t="s">
        <v>41</v>
      </c>
      <c r="B36" s="76"/>
      <c r="C36" s="18">
        <f t="shared" si="5"/>
        <v>870</v>
      </c>
      <c r="D36" s="19">
        <f>SUM(D37:D40)</f>
        <v>346</v>
      </c>
      <c r="E36" s="20">
        <f t="shared" si="0"/>
        <v>39.770114942528735</v>
      </c>
      <c r="F36" s="19">
        <f>SUM(F37:F40)</f>
        <v>140</v>
      </c>
      <c r="G36" s="20">
        <f t="shared" si="1"/>
        <v>16.091954022988507</v>
      </c>
      <c r="H36" s="19">
        <f>SUM(H37:H40)</f>
        <v>8</v>
      </c>
      <c r="I36" s="20">
        <f t="shared" si="2"/>
        <v>0.91954022988505746</v>
      </c>
      <c r="J36" s="19">
        <f>SUM(J37:J40)</f>
        <v>83</v>
      </c>
      <c r="K36" s="20">
        <f t="shared" si="3"/>
        <v>9.5402298850574709</v>
      </c>
      <c r="L36" s="19">
        <f>SUM(L37:L40)</f>
        <v>288</v>
      </c>
      <c r="M36" s="20">
        <f t="shared" si="4"/>
        <v>33.103448275862071</v>
      </c>
      <c r="N36" s="21">
        <f>SUM(N37:N40)</f>
        <v>5</v>
      </c>
      <c r="O36" s="22">
        <f t="shared" si="6"/>
        <v>5.7471264367816091E-3</v>
      </c>
      <c r="P36" s="19">
        <f t="shared" si="7"/>
        <v>524</v>
      </c>
      <c r="Q36" s="23">
        <f t="shared" si="8"/>
        <v>60.229885057471265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</row>
    <row r="37" spans="1:88" ht="15.75" thickTop="1">
      <c r="A37" s="25"/>
      <c r="B37" s="26" t="s">
        <v>42</v>
      </c>
      <c r="C37" s="27">
        <f t="shared" si="5"/>
        <v>531</v>
      </c>
      <c r="D37" s="28">
        <v>211</v>
      </c>
      <c r="E37" s="29">
        <f t="shared" si="0"/>
        <v>39.736346516007529</v>
      </c>
      <c r="F37" s="28">
        <v>88</v>
      </c>
      <c r="G37" s="29">
        <f t="shared" si="1"/>
        <v>16.572504708097931</v>
      </c>
      <c r="H37" s="28">
        <v>0</v>
      </c>
      <c r="I37" s="29">
        <f t="shared" si="2"/>
        <v>0</v>
      </c>
      <c r="J37" s="28">
        <v>35</v>
      </c>
      <c r="K37" s="29">
        <f t="shared" si="3"/>
        <v>6.5913370998116756</v>
      </c>
      <c r="L37" s="28">
        <v>193</v>
      </c>
      <c r="M37" s="29">
        <f t="shared" si="4"/>
        <v>36.346516007532955</v>
      </c>
      <c r="N37" s="30">
        <v>4</v>
      </c>
      <c r="O37" s="31">
        <f t="shared" si="6"/>
        <v>7.5329566854990581E-3</v>
      </c>
      <c r="P37" s="28">
        <f t="shared" si="7"/>
        <v>320</v>
      </c>
      <c r="Q37" s="32">
        <f t="shared" si="8"/>
        <v>60.263653483992464</v>
      </c>
    </row>
    <row r="38" spans="1:88" ht="15">
      <c r="A38" s="33"/>
      <c r="B38" s="34" t="s">
        <v>43</v>
      </c>
      <c r="C38" s="35">
        <f t="shared" si="5"/>
        <v>141</v>
      </c>
      <c r="D38" s="36">
        <v>72</v>
      </c>
      <c r="E38" s="37">
        <f t="shared" si="0"/>
        <v>51.063829787234042</v>
      </c>
      <c r="F38" s="36">
        <v>23</v>
      </c>
      <c r="G38" s="37">
        <f t="shared" si="1"/>
        <v>16.312056737588655</v>
      </c>
      <c r="H38" s="36">
        <v>5</v>
      </c>
      <c r="I38" s="37">
        <f t="shared" si="2"/>
        <v>3.5460992907801421</v>
      </c>
      <c r="J38" s="36">
        <v>19</v>
      </c>
      <c r="K38" s="37">
        <f t="shared" si="3"/>
        <v>13.475177304964539</v>
      </c>
      <c r="L38" s="36">
        <v>21</v>
      </c>
      <c r="M38" s="37">
        <f t="shared" si="4"/>
        <v>14.893617021276595</v>
      </c>
      <c r="N38" s="38">
        <v>1</v>
      </c>
      <c r="O38" s="39">
        <f t="shared" si="6"/>
        <v>7.0921985815602835E-3</v>
      </c>
      <c r="P38" s="36">
        <f t="shared" si="7"/>
        <v>69</v>
      </c>
      <c r="Q38" s="40">
        <f t="shared" si="8"/>
        <v>48.936170212765958</v>
      </c>
    </row>
    <row r="39" spans="1:88" ht="15">
      <c r="A39" s="51"/>
      <c r="B39" s="34" t="s">
        <v>44</v>
      </c>
      <c r="C39" s="35">
        <f t="shared" si="5"/>
        <v>22</v>
      </c>
      <c r="D39" s="36">
        <v>13</v>
      </c>
      <c r="E39" s="37">
        <f t="shared" si="0"/>
        <v>59.090909090909093</v>
      </c>
      <c r="F39" s="36">
        <v>0</v>
      </c>
      <c r="G39" s="37">
        <f t="shared" si="1"/>
        <v>0</v>
      </c>
      <c r="H39" s="36">
        <v>0</v>
      </c>
      <c r="I39" s="37">
        <f t="shared" si="2"/>
        <v>0</v>
      </c>
      <c r="J39" s="36">
        <v>0</v>
      </c>
      <c r="K39" s="37">
        <f t="shared" si="3"/>
        <v>0</v>
      </c>
      <c r="L39" s="36">
        <v>9</v>
      </c>
      <c r="M39" s="37">
        <f t="shared" si="4"/>
        <v>40.909090909090914</v>
      </c>
      <c r="N39" s="38">
        <v>0</v>
      </c>
      <c r="O39" s="39">
        <f t="shared" si="6"/>
        <v>0</v>
      </c>
      <c r="P39" s="36">
        <f t="shared" si="7"/>
        <v>9</v>
      </c>
      <c r="Q39" s="40">
        <f t="shared" si="8"/>
        <v>40.909090909090914</v>
      </c>
    </row>
    <row r="40" spans="1:88" ht="15.75" thickBot="1">
      <c r="A40" s="53"/>
      <c r="B40" s="54" t="s">
        <v>45</v>
      </c>
      <c r="C40" s="55">
        <f t="shared" si="5"/>
        <v>176</v>
      </c>
      <c r="D40" s="56">
        <v>50</v>
      </c>
      <c r="E40" s="57">
        <f t="shared" si="0"/>
        <v>28.40909090909091</v>
      </c>
      <c r="F40" s="56">
        <v>29</v>
      </c>
      <c r="G40" s="57">
        <f t="shared" si="1"/>
        <v>16.477272727272727</v>
      </c>
      <c r="H40" s="56">
        <v>3</v>
      </c>
      <c r="I40" s="57">
        <f t="shared" si="2"/>
        <v>1.7045454545454544</v>
      </c>
      <c r="J40" s="56">
        <v>29</v>
      </c>
      <c r="K40" s="57">
        <f t="shared" si="3"/>
        <v>16.477272727272727</v>
      </c>
      <c r="L40" s="56">
        <v>65</v>
      </c>
      <c r="M40" s="57">
        <f t="shared" si="4"/>
        <v>36.93181818181818</v>
      </c>
      <c r="N40" s="58">
        <v>0</v>
      </c>
      <c r="O40" s="59">
        <f t="shared" si="6"/>
        <v>0</v>
      </c>
      <c r="P40" s="56">
        <f t="shared" si="7"/>
        <v>126</v>
      </c>
      <c r="Q40" s="60">
        <f t="shared" si="8"/>
        <v>71.590909090909093</v>
      </c>
    </row>
    <row r="41" spans="1:88" s="62" customFormat="1" ht="11.25">
      <c r="A41" s="61" t="s">
        <v>46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</row>
    <row r="42" spans="1:88" s="62" customFormat="1" ht="11.25">
      <c r="A42" s="65" t="s">
        <v>47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</row>
    <row r="43" spans="1:88" s="62" customFormat="1" ht="11.25">
      <c r="A43" s="66" t="s">
        <v>48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</row>
    <row r="44" spans="1:88" s="62" customFormat="1" ht="11.25">
      <c r="A44" s="70" t="s">
        <v>49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</row>
    <row r="45" spans="1:88" s="62" customFormat="1" ht="11.25">
      <c r="A45" s="67" t="s">
        <v>50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</row>
    <row r="46" spans="1:88" s="62" customFormat="1" ht="11.25">
      <c r="A46" s="69" t="s">
        <v>51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</row>
    <row r="47" spans="1:88" s="62" customFormat="1" ht="11.25">
      <c r="A47" s="69" t="s">
        <v>52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</row>
    <row r="48" spans="1:88" s="62" customFormat="1" ht="11.25">
      <c r="A48" s="69" t="s">
        <v>53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</row>
    <row r="49" spans="1:88" s="62" customFormat="1" ht="11.25">
      <c r="A49" s="69" t="s">
        <v>54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</row>
    <row r="61" spans="1:88">
      <c r="J61" s="14" t="s">
        <v>55</v>
      </c>
    </row>
  </sheetData>
  <mergeCells count="7">
    <mergeCell ref="A44:Q44"/>
    <mergeCell ref="A3:B3"/>
    <mergeCell ref="A4:B4"/>
    <mergeCell ref="A12:B12"/>
    <mergeCell ref="A18:B18"/>
    <mergeCell ref="A24:B24"/>
    <mergeCell ref="A36:B36"/>
  </mergeCells>
  <printOptions horizontalCentered="1" verticalCentered="1"/>
  <pageMargins left="0.39370078740157483" right="0.39370078740157483" top="1.3385826771653544" bottom="0.35433070866141736" header="0.62992125984251968" footer="0"/>
  <pageSetup paperSize="9" scale="60" fitToHeight="2" orientation="landscape" r:id="rId1"/>
  <headerFooter alignWithMargins="0">
    <oddHeader xml:space="preserve">&amp;C&amp;"Arial,Negrito"&amp;24Grau de utilização dos processos especiais de 01-01-2015 a 30-04-2015 na àrea da PGDL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Formas especiais </vt:lpstr>
      <vt:lpstr>'Formas especiais 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</dc:creator>
  <cp:lastModifiedBy>Desembargador</cp:lastModifiedBy>
  <cp:lastPrinted>2015-05-18T10:27:31Z</cp:lastPrinted>
  <dcterms:created xsi:type="dcterms:W3CDTF">2015-05-12T15:07:40Z</dcterms:created>
  <dcterms:modified xsi:type="dcterms:W3CDTF">2015-06-04T14:58:28Z</dcterms:modified>
</cp:coreProperties>
</file>